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kitces.sharepoint.com/Editorial/Podcasts/FAS/Episodes in Production/FAS 388 - Freeman Linde/Resources/"/>
    </mc:Choice>
  </mc:AlternateContent>
  <xr:revisionPtr revIDLastSave="0" documentId="8_{7AA4F938-2886-4725-AE99-9ED4FDBD9D66}" xr6:coauthVersionLast="47" xr6:coauthVersionMax="47" xr10:uidLastSave="{00000000-0000-0000-0000-000000000000}"/>
  <bookViews>
    <workbookView xWindow="-28920" yWindow="-120" windowWidth="29040" windowHeight="15720" xr2:uid="{F771EEBA-0C7A-184A-9455-C499F6211217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2" i="1"/>
  <c r="E22" i="1" s="1"/>
  <c r="F33" i="1"/>
  <c r="G33" i="1" s="1"/>
  <c r="G9" i="1"/>
  <c r="G10" i="1"/>
  <c r="G8" i="1"/>
  <c r="G14" i="1" s="1"/>
  <c r="G46" i="1"/>
  <c r="D46" i="1"/>
  <c r="E46" i="1" s="1"/>
  <c r="G45" i="1"/>
  <c r="E45" i="1"/>
  <c r="B3" i="1"/>
  <c r="G5" i="1"/>
  <c r="G15" i="1" s="1"/>
  <c r="G16" i="1"/>
  <c r="E15" i="1"/>
  <c r="E16" i="1"/>
  <c r="F42" i="1"/>
  <c r="G42" i="1" s="1"/>
  <c r="D42" i="1"/>
  <c r="E42" i="1" s="1"/>
  <c r="G38" i="1"/>
  <c r="G41" i="1"/>
  <c r="E38" i="1"/>
  <c r="E41" i="1"/>
  <c r="G37" i="1"/>
  <c r="E37" i="1"/>
  <c r="G29" i="1"/>
  <c r="G31" i="1"/>
  <c r="G34" i="1"/>
  <c r="F30" i="1"/>
  <c r="G30" i="1" s="1"/>
  <c r="F28" i="1"/>
  <c r="G28" i="1" s="1"/>
  <c r="F27" i="1"/>
  <c r="G27" i="1" s="1"/>
  <c r="F32" i="1"/>
  <c r="G32" i="1" s="1"/>
  <c r="D32" i="1"/>
  <c r="E32" i="1" s="1"/>
  <c r="E29" i="1"/>
  <c r="E30" i="1"/>
  <c r="E33" i="1"/>
  <c r="E34" i="1"/>
  <c r="E27" i="1"/>
  <c r="D28" i="1"/>
  <c r="E28" i="1" s="1"/>
  <c r="F24" i="1"/>
  <c r="G24" i="1" s="1"/>
  <c r="E31" i="1"/>
  <c r="G23" i="1"/>
  <c r="E23" i="1"/>
  <c r="G17" i="1" l="1"/>
  <c r="G22" i="1" s="1"/>
  <c r="E47" i="1"/>
  <c r="G47" i="1"/>
  <c r="E43" i="1"/>
  <c r="E39" i="1"/>
  <c r="G39" i="1"/>
  <c r="G43" i="1"/>
  <c r="G35" i="1"/>
  <c r="E25" i="1"/>
  <c r="E35" i="1"/>
  <c r="E49" i="1" l="1"/>
  <c r="F11" i="1" l="1"/>
  <c r="G11" i="1" s="1"/>
  <c r="E9" i="1"/>
  <c r="E10" i="1"/>
  <c r="E8" i="1"/>
  <c r="E14" i="1" s="1"/>
  <c r="E17" i="1" s="1"/>
  <c r="E51" i="1" s="1"/>
  <c r="D11" i="1"/>
  <c r="E11" i="1" s="1"/>
  <c r="G25" i="1" l="1"/>
  <c r="G49" i="1" s="1"/>
  <c r="G51" i="1" s="1"/>
  <c r="G54" i="1" s="1"/>
  <c r="G55" i="1" l="1"/>
  <c r="D18" i="1"/>
  <c r="E53" i="1"/>
  <c r="F18" i="1"/>
  <c r="G18" i="1"/>
  <c r="E54" i="1"/>
  <c r="E18" i="1"/>
  <c r="F53" i="1" l="1"/>
  <c r="G53" i="1" s="1"/>
  <c r="G56" i="1" s="1"/>
  <c r="E55" i="1"/>
  <c r="E56" i="1" l="1"/>
  <c r="G57" i="1" s="1"/>
  <c r="F57" i="1" s="1"/>
</calcChain>
</file>

<file path=xl/sharedStrings.xml><?xml version="1.0" encoding="utf-8"?>
<sst xmlns="http://schemas.openxmlformats.org/spreadsheetml/2006/main" count="61" uniqueCount="56">
  <si>
    <t>Staff</t>
  </si>
  <si>
    <t>Broker/Dealer</t>
  </si>
  <si>
    <t>RIA</t>
  </si>
  <si>
    <t>Advisory Fee</t>
  </si>
  <si>
    <t>Platform/Custodian</t>
  </si>
  <si>
    <t>Expense Ratios</t>
  </si>
  <si>
    <t>All-In Client Fee</t>
  </si>
  <si>
    <t>Expenses</t>
  </si>
  <si>
    <t>Rent</t>
  </si>
  <si>
    <t>E&amp;O</t>
  </si>
  <si>
    <t>Licensing/Bond</t>
  </si>
  <si>
    <t>Compliance</t>
  </si>
  <si>
    <t>Advisor Expenses</t>
  </si>
  <si>
    <t>Financial Planning Software</t>
  </si>
  <si>
    <t>Microsoft Business</t>
  </si>
  <si>
    <t>FP Billing</t>
  </si>
  <si>
    <t>Misc Tech</t>
  </si>
  <si>
    <t>Professional Services</t>
  </si>
  <si>
    <t>CRM/Work Email</t>
  </si>
  <si>
    <t>Data Collection</t>
  </si>
  <si>
    <t>Tech Expense</t>
  </si>
  <si>
    <t>Website</t>
  </si>
  <si>
    <t>Monthly</t>
  </si>
  <si>
    <t>Annual</t>
  </si>
  <si>
    <t>Office Expenses</t>
  </si>
  <si>
    <t>Staff Compensation</t>
  </si>
  <si>
    <t>Total Expenses</t>
  </si>
  <si>
    <t>Payroll</t>
  </si>
  <si>
    <t>Associate Advisor Comp</t>
  </si>
  <si>
    <t>Gross Advisor Compensation</t>
  </si>
  <si>
    <t>Federal Income Tax (Eff. Rate)</t>
  </si>
  <si>
    <t>State Income Tax (Eff. Rate)</t>
  </si>
  <si>
    <t>Net Advisor Compensation</t>
  </si>
  <si>
    <t>Insurance Pay Rate/Net Revenue</t>
  </si>
  <si>
    <t>Yes</t>
  </si>
  <si>
    <t>Go Fee-Only?</t>
  </si>
  <si>
    <t>Financial Planning Fee Payout</t>
  </si>
  <si>
    <t>RIA FP Fees</t>
  </si>
  <si>
    <t>% of Investing/Total Fees Paid</t>
  </si>
  <si>
    <t>Assets Under Management</t>
  </si>
  <si>
    <t>Annual Insurance Premiums</t>
  </si>
  <si>
    <t>B/D Financial Planning Fees</t>
  </si>
  <si>
    <t>RIA Consultant</t>
  </si>
  <si>
    <t>Accounting &amp; Payroll</t>
  </si>
  <si>
    <t>Revenue</t>
  </si>
  <si>
    <t>Advisory Revenue (Net)</t>
  </si>
  <si>
    <t>Net Advisor Revenue</t>
  </si>
  <si>
    <t>Retention Rate</t>
  </si>
  <si>
    <t>$ Amount</t>
  </si>
  <si>
    <t>Grid Rate %</t>
  </si>
  <si>
    <t>ROI (RIA Overnight Increase)</t>
  </si>
  <si>
    <t>RIA Toolkit Calculator</t>
  </si>
  <si>
    <t>Self Employment/Payroll Tax</t>
  </si>
  <si>
    <t>Portfolio Management/Billing</t>
  </si>
  <si>
    <t>For More Tools &amp; Resources, Go To:</t>
  </si>
  <si>
    <t>LaxBP.com/RIA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</si>
</sst>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8"/>
      <name val="Arial"/>
      <family val="2"/>
    </font>
    <font>
      <b/>
      <sz val="26"/>
      <color theme="8"/>
      <name val="Cambria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8"/>
      <name val="Arial"/>
      <family val="2"/>
    </font>
    <font>
      <b/>
      <sz val="10"/>
      <color theme="8"/>
      <name val="Arial"/>
      <family val="2"/>
    </font>
    <font>
      <b/>
      <sz val="12"/>
      <color theme="4"/>
      <name val="Arial"/>
      <family val="2"/>
    </font>
    <font>
      <b/>
      <sz val="12"/>
      <color theme="8"/>
      <name val="Cambria"/>
      <family val="1"/>
    </font>
    <font>
      <sz val="12"/>
      <color theme="4"/>
      <name val="Arial"/>
      <family val="2"/>
    </font>
    <font>
      <sz val="11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theme="5"/>
      </bottom>
      <diagonal/>
    </border>
    <border>
      <left/>
      <right/>
      <top style="dashed">
        <color theme="5"/>
      </top>
      <bottom style="dashed">
        <color theme="5"/>
      </bottom>
      <diagonal/>
    </border>
    <border>
      <left/>
      <right/>
      <top style="dashed">
        <color theme="5"/>
      </top>
      <bottom/>
      <diagonal/>
    </border>
    <border>
      <left/>
      <right/>
      <top style="hair">
        <color theme="5"/>
      </top>
      <bottom style="dashed">
        <color theme="5"/>
      </bottom>
      <diagonal/>
    </border>
    <border>
      <left/>
      <right/>
      <top style="medium">
        <color theme="8"/>
      </top>
      <bottom style="hair">
        <color auto="1"/>
      </bottom>
      <diagonal/>
    </border>
    <border>
      <left/>
      <right/>
      <top style="medium">
        <color theme="8"/>
      </top>
      <bottom/>
      <diagonal/>
    </border>
    <border>
      <left/>
      <right style="dashed">
        <color theme="8"/>
      </right>
      <top/>
      <bottom/>
      <diagonal/>
    </border>
    <border>
      <left/>
      <right style="dashed">
        <color theme="8"/>
      </right>
      <top/>
      <bottom style="dashed">
        <color theme="5"/>
      </bottom>
      <diagonal/>
    </border>
    <border>
      <left/>
      <right style="dashed">
        <color theme="8"/>
      </right>
      <top style="dashed">
        <color theme="5"/>
      </top>
      <bottom style="dashed">
        <color theme="5"/>
      </bottom>
      <diagonal/>
    </border>
    <border>
      <left/>
      <right style="dashed">
        <color theme="8"/>
      </right>
      <top style="dashed">
        <color theme="5"/>
      </top>
      <bottom/>
      <diagonal/>
    </border>
    <border>
      <left/>
      <right style="dashed">
        <color theme="8"/>
      </right>
      <top style="medium">
        <color theme="8"/>
      </top>
      <bottom/>
      <diagonal/>
    </border>
    <border>
      <left/>
      <right style="dashed">
        <color theme="8"/>
      </right>
      <top/>
      <bottom style="medium">
        <color indexed="64"/>
      </bottom>
      <diagonal/>
    </border>
    <border>
      <left/>
      <right style="dashed">
        <color theme="8"/>
      </right>
      <top style="thick">
        <color auto="1"/>
      </top>
      <bottom style="hair">
        <color auto="1"/>
      </bottom>
      <diagonal/>
    </border>
    <border>
      <left/>
      <right style="dashed">
        <color theme="8"/>
      </right>
      <top style="medium">
        <color theme="8"/>
      </top>
      <bottom style="hair">
        <color auto="1"/>
      </bottom>
      <diagonal/>
    </border>
    <border>
      <left/>
      <right/>
      <top/>
      <bottom style="medium">
        <color theme="8"/>
      </bottom>
      <diagonal/>
    </border>
    <border>
      <left/>
      <right style="dashed">
        <color theme="8"/>
      </right>
      <top/>
      <bottom style="medium">
        <color theme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1" applyNumberFormat="1" applyFont="1"/>
    <xf numFmtId="0" fontId="4" fillId="0" borderId="0" xfId="0" applyFont="1"/>
    <xf numFmtId="164" fontId="4" fillId="0" borderId="0" xfId="1" applyNumberFormat="1" applyFont="1"/>
    <xf numFmtId="0" fontId="5" fillId="0" borderId="2" xfId="0" applyFont="1" applyBorder="1"/>
    <xf numFmtId="0" fontId="7" fillId="0" borderId="1" xfId="0" applyFont="1" applyBorder="1"/>
    <xf numFmtId="164" fontId="7" fillId="0" borderId="1" xfId="0" applyNumberFormat="1" applyFont="1" applyBorder="1"/>
    <xf numFmtId="9" fontId="4" fillId="0" borderId="0" xfId="2" applyFont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4" fillId="0" borderId="3" xfId="0" applyFont="1" applyBorder="1"/>
    <xf numFmtId="164" fontId="4" fillId="0" borderId="3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3" xfId="0" applyFont="1" applyBorder="1" applyAlignment="1">
      <alignment vertical="center"/>
    </xf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0" fontId="10" fillId="0" borderId="7" xfId="0" applyFont="1" applyBorder="1"/>
    <xf numFmtId="164" fontId="10" fillId="0" borderId="7" xfId="0" applyNumberFormat="1" applyFont="1" applyBorder="1"/>
    <xf numFmtId="0" fontId="7" fillId="0" borderId="0" xfId="0" applyFont="1"/>
    <xf numFmtId="164" fontId="7" fillId="0" borderId="0" xfId="0" applyNumberFormat="1" applyFont="1"/>
    <xf numFmtId="0" fontId="11" fillId="0" borderId="8" xfId="0" applyFont="1" applyBorder="1"/>
    <xf numFmtId="164" fontId="11" fillId="0" borderId="8" xfId="1" applyNumberFormat="1" applyFont="1" applyBorder="1"/>
    <xf numFmtId="0" fontId="9" fillId="0" borderId="0" xfId="0" applyFont="1"/>
    <xf numFmtId="164" fontId="9" fillId="0" borderId="0" xfId="1" applyNumberFormat="1" applyFont="1"/>
    <xf numFmtId="9" fontId="9" fillId="0" borderId="0" xfId="2" applyFont="1"/>
    <xf numFmtId="9" fontId="4" fillId="0" borderId="0" xfId="2" applyFont="1" applyBorder="1"/>
    <xf numFmtId="164" fontId="4" fillId="0" borderId="0" xfId="1" applyNumberFormat="1" applyFont="1" applyBorder="1"/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164" fontId="4" fillId="2" borderId="3" xfId="1" applyNumberFormat="1" applyFont="1" applyFill="1" applyBorder="1" applyProtection="1">
      <protection locked="0"/>
    </xf>
    <xf numFmtId="164" fontId="4" fillId="2" borderId="4" xfId="1" applyNumberFormat="1" applyFont="1" applyFill="1" applyBorder="1" applyProtection="1">
      <protection locked="0"/>
    </xf>
    <xf numFmtId="164" fontId="4" fillId="2" borderId="5" xfId="1" applyNumberFormat="1" applyFont="1" applyFill="1" applyBorder="1" applyProtection="1">
      <protection locked="0"/>
    </xf>
    <xf numFmtId="9" fontId="4" fillId="2" borderId="3" xfId="2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10" fontId="4" fillId="2" borderId="3" xfId="0" applyNumberFormat="1" applyFont="1" applyFill="1" applyBorder="1" applyProtection="1">
      <protection locked="0"/>
    </xf>
    <xf numFmtId="9" fontId="4" fillId="2" borderId="4" xfId="0" applyNumberFormat="1" applyFont="1" applyFill="1" applyBorder="1" applyProtection="1">
      <protection locked="0"/>
    </xf>
    <xf numFmtId="10" fontId="4" fillId="2" borderId="4" xfId="0" applyNumberFormat="1" applyFont="1" applyFill="1" applyBorder="1" applyProtection="1">
      <protection locked="0"/>
    </xf>
    <xf numFmtId="10" fontId="4" fillId="2" borderId="5" xfId="0" applyNumberFormat="1" applyFont="1" applyFill="1" applyBorder="1" applyProtection="1">
      <protection locked="0"/>
    </xf>
    <xf numFmtId="9" fontId="4" fillId="2" borderId="6" xfId="0" applyNumberFormat="1" applyFont="1" applyFill="1" applyBorder="1" applyProtection="1">
      <protection locked="0"/>
    </xf>
    <xf numFmtId="9" fontId="4" fillId="2" borderId="5" xfId="0" applyNumberFormat="1" applyFont="1" applyFill="1" applyBorder="1" applyProtection="1">
      <protection locked="0"/>
    </xf>
    <xf numFmtId="164" fontId="4" fillId="2" borderId="3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9" fontId="4" fillId="2" borderId="0" xfId="2" applyFont="1" applyFill="1" applyBorder="1" applyProtection="1">
      <protection locked="0"/>
    </xf>
    <xf numFmtId="164" fontId="4" fillId="0" borderId="0" xfId="0" applyNumberFormat="1" applyFont="1"/>
    <xf numFmtId="0" fontId="8" fillId="0" borderId="8" xfId="0" applyFont="1" applyBorder="1"/>
    <xf numFmtId="10" fontId="8" fillId="2" borderId="8" xfId="0" applyNumberFormat="1" applyFont="1" applyFill="1" applyBorder="1" applyProtection="1">
      <protection locked="0"/>
    </xf>
    <xf numFmtId="164" fontId="8" fillId="0" borderId="8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8" fillId="0" borderId="13" xfId="0" applyNumberFormat="1" applyFont="1" applyBorder="1"/>
    <xf numFmtId="0" fontId="4" fillId="0" borderId="9" xfId="0" applyFont="1" applyBorder="1"/>
    <xf numFmtId="0" fontId="10" fillId="0" borderId="14" xfId="0" applyFont="1" applyBorder="1" applyAlignment="1">
      <alignment horizontal="right"/>
    </xf>
    <xf numFmtId="164" fontId="7" fillId="0" borderId="15" xfId="0" applyNumberFormat="1" applyFont="1" applyBorder="1"/>
    <xf numFmtId="9" fontId="4" fillId="0" borderId="9" xfId="2" applyFont="1" applyBorder="1"/>
    <xf numFmtId="0" fontId="9" fillId="0" borderId="14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164" fontId="4" fillId="0" borderId="10" xfId="1" applyNumberFormat="1" applyFont="1" applyBorder="1"/>
    <xf numFmtId="164" fontId="4" fillId="0" borderId="11" xfId="1" applyNumberFormat="1" applyFont="1" applyBorder="1"/>
    <xf numFmtId="164" fontId="10" fillId="0" borderId="16" xfId="0" applyNumberFormat="1" applyFont="1" applyBorder="1"/>
    <xf numFmtId="164" fontId="10" fillId="0" borderId="9" xfId="0" applyNumberFormat="1" applyFont="1" applyBorder="1"/>
    <xf numFmtId="164" fontId="4" fillId="0" borderId="12" xfId="1" applyNumberFormat="1" applyFont="1" applyBorder="1"/>
    <xf numFmtId="164" fontId="4" fillId="0" borderId="9" xfId="1" applyNumberFormat="1" applyFont="1" applyBorder="1"/>
    <xf numFmtId="164" fontId="7" fillId="0" borderId="9" xfId="0" applyNumberFormat="1" applyFont="1" applyBorder="1"/>
    <xf numFmtId="164" fontId="9" fillId="0" borderId="9" xfId="1" applyNumberFormat="1" applyFont="1" applyBorder="1"/>
    <xf numFmtId="164" fontId="11" fillId="0" borderId="13" xfId="1" applyNumberFormat="1" applyFont="1" applyBorder="1"/>
    <xf numFmtId="164" fontId="1" fillId="0" borderId="9" xfId="1" applyNumberFormat="1" applyFont="1" applyBorder="1"/>
    <xf numFmtId="0" fontId="13" fillId="0" borderId="0" xfId="0" applyFont="1"/>
    <xf numFmtId="0" fontId="14" fillId="0" borderId="0" xfId="0" applyFont="1"/>
    <xf numFmtId="0" fontId="3" fillId="0" borderId="0" xfId="3" applyAlignment="1"/>
    <xf numFmtId="0" fontId="6" fillId="0" borderId="0" xfId="0" applyFont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357187</xdr:colOff>
      <xdr:row>0</xdr:row>
      <xdr:rowOff>0</xdr:rowOff>
    </xdr:from>
    <xdr:to>
      <xdr:col>6</xdr:col>
      <xdr:colOff>1064260</xdr:colOff>
      <xdr:row>1</xdr:row>
      <xdr:rowOff>20162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AB3078-AC5D-384C-BA97-94B4C2C07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35625" y="0"/>
          <a:ext cx="707073" cy="3535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34FA6"/>
      </a:accent1>
      <a:accent2>
        <a:srgbClr val="1975B8"/>
      </a:accent2>
      <a:accent3>
        <a:srgbClr val="26B7FF"/>
      </a:accent3>
      <a:accent4>
        <a:srgbClr val="F5BD20"/>
      </a:accent4>
      <a:accent5>
        <a:srgbClr val="062861"/>
      </a:accent5>
      <a:accent6>
        <a:srgbClr val="FDE75B"/>
      </a:accent6>
      <a:hlink>
        <a:srgbClr val="1975B8"/>
      </a:hlink>
      <a:folHlink>
        <a:srgbClr val="F5BD2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crossefinancialplanning.com/lacrossebusinessplanning/ri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70C0-8FDA-744E-AEA8-B517C1377356}">
  <dimension ref="A1:H70"/>
  <sheetViews>
    <sheetView showGridLines="0" tabSelected="1" view="pageLayout" zoomScale="85" zoomScaleNormal="100" zoomScalePageLayoutView="85" workbookViewId="0">
      <selection activeCell="F23" sqref="F23"/>
    </sheetView>
  </sheetViews>
  <sheetFormatPr defaultColWidth="10.796875" defaultRowHeight="15" x14ac:dyDescent="0.25"/>
  <cols>
    <col min="1" max="1" width="3" style="2" customWidth="1"/>
    <col min="2" max="2" width="9.5" style="2" customWidth="1"/>
    <col min="3" max="3" width="19" style="2" customWidth="1"/>
    <col min="4" max="4" width="11.69921875" style="2" customWidth="1"/>
    <col min="5" max="5" width="14.5" style="2" customWidth="1"/>
    <col min="6" max="6" width="11.69921875" style="2" customWidth="1"/>
    <col min="7" max="7" width="14.5" style="2" customWidth="1"/>
    <col min="8" max="8" width="12.69921875" style="2" customWidth="1"/>
    <col min="9" max="9" width="0.19921875" style="2" customWidth="1"/>
    <col min="10" max="16384" width="10.796875" style="2"/>
  </cols>
  <sheetData>
    <row r="1" spans="1:7" ht="25.95" customHeight="1" x14ac:dyDescent="0.55000000000000004">
      <c r="A1" s="79" t="s">
        <v>51</v>
      </c>
      <c r="B1" s="79"/>
      <c r="C1" s="79"/>
      <c r="D1" s="79"/>
      <c r="E1" s="79"/>
      <c r="F1" s="79"/>
    </row>
    <row r="2" spans="1:7" ht="4.05" customHeight="1" x14ac:dyDescent="0.25">
      <c r="A2" s="1"/>
    </row>
    <row r="3" spans="1:7" x14ac:dyDescent="0.25">
      <c r="A3" s="36">
        <v>1</v>
      </c>
      <c r="B3" s="21" t="str">
        <f>IF(A3=1,"Advisor","Advisors")</f>
        <v>Advisor</v>
      </c>
      <c r="C3" s="15" t="s">
        <v>39</v>
      </c>
      <c r="D3" s="15"/>
      <c r="E3" s="38">
        <v>10000000</v>
      </c>
      <c r="F3" s="15" t="s">
        <v>47</v>
      </c>
      <c r="G3" s="41">
        <v>1</v>
      </c>
    </row>
    <row r="4" spans="1:7" x14ac:dyDescent="0.25">
      <c r="A4" s="37">
        <v>0</v>
      </c>
      <c r="B4" s="17" t="s">
        <v>0</v>
      </c>
      <c r="C4" s="17" t="s">
        <v>40</v>
      </c>
      <c r="D4" s="17"/>
      <c r="E4" s="39">
        <v>24000</v>
      </c>
      <c r="F4" s="17" t="s">
        <v>35</v>
      </c>
      <c r="G4" s="42" t="s">
        <v>34</v>
      </c>
    </row>
    <row r="5" spans="1:7" x14ac:dyDescent="0.25">
      <c r="A5" s="19"/>
      <c r="B5" s="19"/>
      <c r="C5" s="19" t="s">
        <v>41</v>
      </c>
      <c r="D5" s="19"/>
      <c r="E5" s="40">
        <v>24000</v>
      </c>
      <c r="F5" s="19" t="s">
        <v>37</v>
      </c>
      <c r="G5" s="40">
        <f>IF(G4="Yes",$E$5+($E$4*50%),$E$5)</f>
        <v>36000</v>
      </c>
    </row>
    <row r="6" spans="1:7" ht="4.05" customHeight="1" x14ac:dyDescent="0.25">
      <c r="A6" s="4"/>
      <c r="B6" s="4"/>
      <c r="C6" s="4"/>
      <c r="D6" s="4"/>
      <c r="E6" s="5"/>
      <c r="F6" s="4"/>
      <c r="G6" s="5"/>
    </row>
    <row r="7" spans="1:7" ht="15.6" thickBot="1" x14ac:dyDescent="0.3">
      <c r="A7" s="4"/>
      <c r="B7" s="4"/>
      <c r="C7" s="4"/>
      <c r="D7" s="80" t="s">
        <v>1</v>
      </c>
      <c r="E7" s="81"/>
      <c r="F7" s="80" t="s">
        <v>2</v>
      </c>
      <c r="G7" s="80"/>
    </row>
    <row r="8" spans="1:7" ht="15" customHeight="1" x14ac:dyDescent="0.25">
      <c r="A8" s="15" t="s">
        <v>3</v>
      </c>
      <c r="B8" s="15"/>
      <c r="C8" s="15"/>
      <c r="D8" s="43">
        <v>0.01</v>
      </c>
      <c r="E8" s="56">
        <f>D8*$E$3</f>
        <v>100000</v>
      </c>
      <c r="F8" s="43">
        <v>1.4999999999999999E-2</v>
      </c>
      <c r="G8" s="16">
        <f>F8*$E$3*$G$3</f>
        <v>150000</v>
      </c>
    </row>
    <row r="9" spans="1:7" ht="15" customHeight="1" x14ac:dyDescent="0.25">
      <c r="A9" s="17" t="s">
        <v>4</v>
      </c>
      <c r="B9" s="17"/>
      <c r="C9" s="17"/>
      <c r="D9" s="45">
        <v>3.0000000000000001E-3</v>
      </c>
      <c r="E9" s="57">
        <f t="shared" ref="E9:E11" si="0">D9*$E$3</f>
        <v>30000</v>
      </c>
      <c r="F9" s="44">
        <v>0</v>
      </c>
      <c r="G9" s="16">
        <f t="shared" ref="G9:G11" si="1">F9*$E$3*$G$3</f>
        <v>0</v>
      </c>
    </row>
    <row r="10" spans="1:7" ht="15" customHeight="1" thickBot="1" x14ac:dyDescent="0.3">
      <c r="A10" s="19" t="s">
        <v>5</v>
      </c>
      <c r="B10" s="19"/>
      <c r="C10" s="19"/>
      <c r="D10" s="46">
        <v>3.0000000000000001E-3</v>
      </c>
      <c r="E10" s="58">
        <f t="shared" si="0"/>
        <v>30000</v>
      </c>
      <c r="F10" s="46">
        <v>1E-3</v>
      </c>
      <c r="G10" s="52">
        <f t="shared" si="1"/>
        <v>10000</v>
      </c>
    </row>
    <row r="11" spans="1:7" ht="15" customHeight="1" x14ac:dyDescent="0.25">
      <c r="A11" s="53" t="s">
        <v>6</v>
      </c>
      <c r="B11" s="53"/>
      <c r="C11" s="53"/>
      <c r="D11" s="54">
        <f>SUM(D8:D10)</f>
        <v>1.6E-2</v>
      </c>
      <c r="E11" s="59">
        <f t="shared" si="0"/>
        <v>160000</v>
      </c>
      <c r="F11" s="54">
        <f>SUM(F8:F10)</f>
        <v>1.6E-2</v>
      </c>
      <c r="G11" s="55">
        <f t="shared" si="1"/>
        <v>160000</v>
      </c>
    </row>
    <row r="12" spans="1:7" ht="4.05" customHeight="1" x14ac:dyDescent="0.25">
      <c r="A12" s="4"/>
      <c r="B12" s="4"/>
      <c r="C12" s="4"/>
      <c r="D12" s="4"/>
      <c r="E12" s="60"/>
      <c r="F12" s="4"/>
      <c r="G12" s="4"/>
    </row>
    <row r="13" spans="1:7" ht="16.2" thickBot="1" x14ac:dyDescent="0.35">
      <c r="A13" s="6" t="s">
        <v>44</v>
      </c>
      <c r="B13" s="6"/>
      <c r="C13" s="6"/>
      <c r="D13" s="14" t="s">
        <v>49</v>
      </c>
      <c r="E13" s="61" t="s">
        <v>48</v>
      </c>
      <c r="F13" s="14" t="s">
        <v>49</v>
      </c>
      <c r="G13" s="14" t="s">
        <v>48</v>
      </c>
    </row>
    <row r="14" spans="1:7" ht="15" customHeight="1" x14ac:dyDescent="0.25">
      <c r="A14" s="15" t="s">
        <v>45</v>
      </c>
      <c r="B14" s="15"/>
      <c r="C14" s="15"/>
      <c r="D14" s="47">
        <v>0.7</v>
      </c>
      <c r="E14" s="56">
        <f>D14*E8</f>
        <v>70000</v>
      </c>
      <c r="F14" s="47">
        <v>1</v>
      </c>
      <c r="G14" s="16">
        <f>F14*G8</f>
        <v>150000</v>
      </c>
    </row>
    <row r="15" spans="1:7" ht="15" customHeight="1" x14ac:dyDescent="0.25">
      <c r="A15" s="17" t="s">
        <v>36</v>
      </c>
      <c r="B15" s="17"/>
      <c r="C15" s="17"/>
      <c r="D15" s="44">
        <v>0.75</v>
      </c>
      <c r="E15" s="57">
        <f>D15*$E$5</f>
        <v>18000</v>
      </c>
      <c r="F15" s="44">
        <v>1</v>
      </c>
      <c r="G15" s="18">
        <f>F15*$G$5</f>
        <v>36000</v>
      </c>
    </row>
    <row r="16" spans="1:7" ht="15" customHeight="1" thickBot="1" x14ac:dyDescent="0.3">
      <c r="A16" s="19" t="s">
        <v>33</v>
      </c>
      <c r="B16" s="19"/>
      <c r="C16" s="19"/>
      <c r="D16" s="48">
        <v>0.5</v>
      </c>
      <c r="E16" s="58">
        <f>$E$4*D16</f>
        <v>12000</v>
      </c>
      <c r="F16" s="48">
        <v>0.8</v>
      </c>
      <c r="G16" s="20">
        <f>IF(G4="Yes",0,$E$4*F16)</f>
        <v>0</v>
      </c>
    </row>
    <row r="17" spans="1:7" ht="15.6" thickTop="1" x14ac:dyDescent="0.25">
      <c r="A17" s="7" t="s">
        <v>46</v>
      </c>
      <c r="B17" s="7"/>
      <c r="C17" s="7"/>
      <c r="D17" s="7"/>
      <c r="E17" s="62">
        <f>SUM(E14:E16)</f>
        <v>100000</v>
      </c>
      <c r="F17" s="7"/>
      <c r="G17" s="8">
        <f>SUM(G14:G16)</f>
        <v>186000</v>
      </c>
    </row>
    <row r="18" spans="1:7" x14ac:dyDescent="0.25">
      <c r="A18" s="4"/>
      <c r="B18" s="4" t="s">
        <v>38</v>
      </c>
      <c r="C18" s="4"/>
      <c r="D18" s="9">
        <f>E14/E11</f>
        <v>0.4375</v>
      </c>
      <c r="E18" s="63">
        <f>E17/(E11+E5+E4)</f>
        <v>0.48076923076923078</v>
      </c>
      <c r="F18" s="9">
        <f>G14/G11</f>
        <v>0.9375</v>
      </c>
      <c r="G18" s="9">
        <f>G17/(G11+G5+IF($G$4="Yes",0,E4))</f>
        <v>0.94897959183673475</v>
      </c>
    </row>
    <row r="19" spans="1:7" ht="4.05" customHeight="1" x14ac:dyDescent="0.25">
      <c r="A19" s="4"/>
      <c r="B19" s="4"/>
      <c r="C19" s="4"/>
      <c r="D19" s="4"/>
      <c r="E19" s="60"/>
      <c r="F19" s="4"/>
      <c r="G19" s="4"/>
    </row>
    <row r="20" spans="1:7" ht="16.2" thickBot="1" x14ac:dyDescent="0.35">
      <c r="A20" s="6" t="s">
        <v>7</v>
      </c>
      <c r="B20" s="6"/>
      <c r="C20" s="6"/>
      <c r="D20" s="13" t="s">
        <v>22</v>
      </c>
      <c r="E20" s="64" t="s">
        <v>23</v>
      </c>
      <c r="F20" s="13" t="s">
        <v>22</v>
      </c>
      <c r="G20" s="13" t="s">
        <v>23</v>
      </c>
    </row>
    <row r="21" spans="1:7" ht="4.05" customHeight="1" x14ac:dyDescent="0.25">
      <c r="A21" s="10"/>
      <c r="B21" s="10"/>
      <c r="C21" s="10"/>
      <c r="D21" s="11"/>
      <c r="E21" s="65"/>
      <c r="F21" s="11"/>
      <c r="G21" s="11"/>
    </row>
    <row r="22" spans="1:7" ht="15" customHeight="1" x14ac:dyDescent="0.25">
      <c r="A22" s="4"/>
      <c r="B22" s="15" t="s">
        <v>9</v>
      </c>
      <c r="C22" s="15"/>
      <c r="D22" s="49">
        <f>237*A3</f>
        <v>237</v>
      </c>
      <c r="E22" s="66">
        <f>D22*12</f>
        <v>2844</v>
      </c>
      <c r="F22" s="36"/>
      <c r="G22" s="22">
        <f>IF(G17&lt;125000,775,IF(G17&lt;250000,1100,IF(G17&lt;500000,1550,IF(G17&lt;1000000,2400,"Custom Quote Needed"))))</f>
        <v>1100</v>
      </c>
    </row>
    <row r="23" spans="1:7" ht="15" customHeight="1" x14ac:dyDescent="0.25">
      <c r="A23" s="4"/>
      <c r="B23" s="17" t="s">
        <v>10</v>
      </c>
      <c r="C23" s="17"/>
      <c r="D23" s="37">
        <v>0</v>
      </c>
      <c r="E23" s="67">
        <f>(570+190+700+100)*A3</f>
        <v>1560</v>
      </c>
      <c r="F23" s="37"/>
      <c r="G23" s="23">
        <f>500*A3</f>
        <v>500</v>
      </c>
    </row>
    <row r="24" spans="1:7" ht="15" customHeight="1" thickBot="1" x14ac:dyDescent="0.3">
      <c r="A24" s="4"/>
      <c r="B24" s="19" t="s">
        <v>11</v>
      </c>
      <c r="C24" s="19"/>
      <c r="D24" s="50">
        <v>0</v>
      </c>
      <c r="E24" s="66">
        <f>D24*12</f>
        <v>0</v>
      </c>
      <c r="F24" s="40">
        <f>150+(50*A3)</f>
        <v>200</v>
      </c>
      <c r="G24" s="24">
        <f>F24*12</f>
        <v>2400</v>
      </c>
    </row>
    <row r="25" spans="1:7" x14ac:dyDescent="0.25">
      <c r="A25" s="25" t="s">
        <v>12</v>
      </c>
      <c r="B25" s="25"/>
      <c r="C25" s="25"/>
      <c r="D25" s="25"/>
      <c r="E25" s="68">
        <f>SUM(E22:E24)</f>
        <v>4404</v>
      </c>
      <c r="F25" s="25"/>
      <c r="G25" s="26">
        <f>SUM(G22:G24)</f>
        <v>4000</v>
      </c>
    </row>
    <row r="26" spans="1:7" ht="4.05" customHeight="1" x14ac:dyDescent="0.25">
      <c r="A26" s="10"/>
      <c r="B26" s="10"/>
      <c r="C26" s="10"/>
      <c r="D26" s="10"/>
      <c r="E26" s="69"/>
      <c r="F26" s="10"/>
      <c r="G26" s="12"/>
    </row>
    <row r="27" spans="1:7" ht="15" customHeight="1" x14ac:dyDescent="0.25">
      <c r="A27" s="4"/>
      <c r="B27" s="15" t="s">
        <v>18</v>
      </c>
      <c r="C27" s="15"/>
      <c r="D27" s="36"/>
      <c r="E27" s="66">
        <f>D27*12</f>
        <v>0</v>
      </c>
      <c r="F27" s="38">
        <f>40*($A$3+$A$4)</f>
        <v>40</v>
      </c>
      <c r="G27" s="22">
        <f>F27*12</f>
        <v>480</v>
      </c>
    </row>
    <row r="28" spans="1:7" ht="15" customHeight="1" x14ac:dyDescent="0.25">
      <c r="A28" s="4"/>
      <c r="B28" s="17" t="s">
        <v>13</v>
      </c>
      <c r="C28" s="17"/>
      <c r="D28" s="39">
        <f>(150*$A$3)+(50*$A$4)</f>
        <v>150</v>
      </c>
      <c r="E28" s="67">
        <f t="shared" ref="E28:E34" si="2">D28*12</f>
        <v>1800</v>
      </c>
      <c r="F28" s="39">
        <f>(300*$A$3)+(120*$A$4)</f>
        <v>300</v>
      </c>
      <c r="G28" s="23">
        <f t="shared" ref="G28:G34" si="3">F28*12</f>
        <v>3600</v>
      </c>
    </row>
    <row r="29" spans="1:7" ht="15" customHeight="1" x14ac:dyDescent="0.25">
      <c r="A29" s="4"/>
      <c r="B29" s="17" t="s">
        <v>53</v>
      </c>
      <c r="C29" s="17"/>
      <c r="D29" s="37"/>
      <c r="E29" s="67">
        <f t="shared" si="2"/>
        <v>0</v>
      </c>
      <c r="F29" s="39">
        <v>0</v>
      </c>
      <c r="G29" s="23">
        <f t="shared" si="3"/>
        <v>0</v>
      </c>
    </row>
    <row r="30" spans="1:7" ht="15" customHeight="1" x14ac:dyDescent="0.25">
      <c r="A30" s="4"/>
      <c r="B30" s="17" t="s">
        <v>15</v>
      </c>
      <c r="C30" s="17"/>
      <c r="D30" s="37"/>
      <c r="E30" s="67">
        <f>D30*12</f>
        <v>0</v>
      </c>
      <c r="F30" s="39">
        <f>50*$A$3</f>
        <v>50</v>
      </c>
      <c r="G30" s="23">
        <f t="shared" si="3"/>
        <v>600</v>
      </c>
    </row>
    <row r="31" spans="1:7" ht="15" customHeight="1" x14ac:dyDescent="0.25">
      <c r="A31" s="4"/>
      <c r="B31" s="17" t="s">
        <v>21</v>
      </c>
      <c r="C31" s="17"/>
      <c r="D31" s="39">
        <v>110</v>
      </c>
      <c r="E31" s="67">
        <f>D31*12</f>
        <v>1320</v>
      </c>
      <c r="F31" s="39">
        <v>500</v>
      </c>
      <c r="G31" s="23">
        <f t="shared" si="3"/>
        <v>6000</v>
      </c>
    </row>
    <row r="32" spans="1:7" ht="15" customHeight="1" x14ac:dyDescent="0.25">
      <c r="A32" s="4"/>
      <c r="B32" s="17" t="s">
        <v>14</v>
      </c>
      <c r="C32" s="17"/>
      <c r="D32" s="39">
        <f>10*($A$3+$A$4)</f>
        <v>10</v>
      </c>
      <c r="E32" s="67">
        <f t="shared" si="2"/>
        <v>120</v>
      </c>
      <c r="F32" s="39">
        <f>20*($A$3+$A$4)</f>
        <v>20</v>
      </c>
      <c r="G32" s="23">
        <f t="shared" si="3"/>
        <v>240</v>
      </c>
    </row>
    <row r="33" spans="1:8" ht="15" customHeight="1" x14ac:dyDescent="0.25">
      <c r="A33" s="4"/>
      <c r="B33" s="17" t="s">
        <v>19</v>
      </c>
      <c r="C33" s="17"/>
      <c r="D33" s="37"/>
      <c r="E33" s="67">
        <f t="shared" si="2"/>
        <v>0</v>
      </c>
      <c r="F33" s="39">
        <f>50*($A$3+$A$4)</f>
        <v>50</v>
      </c>
      <c r="G33" s="23">
        <f t="shared" si="3"/>
        <v>600</v>
      </c>
    </row>
    <row r="34" spans="1:8" ht="15" customHeight="1" thickBot="1" x14ac:dyDescent="0.3">
      <c r="A34" s="4"/>
      <c r="B34" s="19" t="s">
        <v>16</v>
      </c>
      <c r="C34" s="19"/>
      <c r="D34" s="50"/>
      <c r="E34" s="70">
        <f t="shared" si="2"/>
        <v>0</v>
      </c>
      <c r="F34" s="50"/>
      <c r="G34" s="24">
        <f t="shared" si="3"/>
        <v>0</v>
      </c>
    </row>
    <row r="35" spans="1:8" x14ac:dyDescent="0.25">
      <c r="A35" s="25" t="s">
        <v>20</v>
      </c>
      <c r="B35" s="25"/>
      <c r="C35" s="25"/>
      <c r="D35" s="25"/>
      <c r="E35" s="68">
        <f>(2460*$A$3)+(1200*$A$4)+SUM(E27:E34)</f>
        <v>5700</v>
      </c>
      <c r="F35" s="25"/>
      <c r="G35" s="26">
        <f>SUM(G27:G34)</f>
        <v>11520</v>
      </c>
    </row>
    <row r="36" spans="1:8" ht="4.05" customHeight="1" x14ac:dyDescent="0.25">
      <c r="A36" s="10"/>
      <c r="B36" s="10"/>
      <c r="C36" s="10"/>
      <c r="D36" s="10"/>
      <c r="E36" s="69"/>
      <c r="F36" s="10"/>
      <c r="G36" s="12"/>
    </row>
    <row r="37" spans="1:8" ht="15" customHeight="1" x14ac:dyDescent="0.25">
      <c r="A37" s="4"/>
      <c r="B37" s="15" t="s">
        <v>8</v>
      </c>
      <c r="C37" s="15"/>
      <c r="D37" s="38">
        <v>1000</v>
      </c>
      <c r="E37" s="66">
        <f>D37*12</f>
        <v>12000</v>
      </c>
      <c r="F37" s="38">
        <v>1000</v>
      </c>
      <c r="G37" s="22">
        <f>F37*12</f>
        <v>12000</v>
      </c>
      <c r="H37" s="3"/>
    </row>
    <row r="38" spans="1:8" ht="15" customHeight="1" thickBot="1" x14ac:dyDescent="0.3">
      <c r="A38" s="4"/>
      <c r="B38" s="19" t="s">
        <v>24</v>
      </c>
      <c r="C38" s="19"/>
      <c r="D38" s="40">
        <v>200</v>
      </c>
      <c r="E38" s="70">
        <f t="shared" ref="E38:E42" si="4">D38*12</f>
        <v>2400</v>
      </c>
      <c r="F38" s="40">
        <v>200</v>
      </c>
      <c r="G38" s="24">
        <f t="shared" ref="G38:G42" si="5">F38*12</f>
        <v>2400</v>
      </c>
      <c r="H38" s="3"/>
    </row>
    <row r="39" spans="1:8" x14ac:dyDescent="0.25">
      <c r="A39" s="25" t="s">
        <v>24</v>
      </c>
      <c r="B39" s="25"/>
      <c r="C39" s="25"/>
      <c r="D39" s="25"/>
      <c r="E39" s="68">
        <f>SUM(E37:E38)</f>
        <v>14400</v>
      </c>
      <c r="F39" s="25"/>
      <c r="G39" s="26">
        <f>SUM(G37:G38)</f>
        <v>14400</v>
      </c>
      <c r="H39" s="3"/>
    </row>
    <row r="40" spans="1:8" ht="4.05" customHeight="1" x14ac:dyDescent="0.25">
      <c r="A40" s="10"/>
      <c r="B40" s="10"/>
      <c r="C40" s="10"/>
      <c r="D40" s="10"/>
      <c r="E40" s="69"/>
      <c r="F40" s="10"/>
      <c r="G40" s="12"/>
      <c r="H40" s="3"/>
    </row>
    <row r="41" spans="1:8" ht="15" customHeight="1" x14ac:dyDescent="0.25">
      <c r="A41" s="4"/>
      <c r="B41" s="15" t="s">
        <v>28</v>
      </c>
      <c r="C41" s="15"/>
      <c r="D41" s="38">
        <v>0</v>
      </c>
      <c r="E41" s="66">
        <f t="shared" si="4"/>
        <v>0</v>
      </c>
      <c r="F41" s="38">
        <v>0</v>
      </c>
      <c r="G41" s="22">
        <f t="shared" si="5"/>
        <v>0</v>
      </c>
      <c r="H41" s="3"/>
    </row>
    <row r="42" spans="1:8" ht="15" customHeight="1" thickBot="1" x14ac:dyDescent="0.3">
      <c r="A42" s="4"/>
      <c r="B42" s="19" t="s">
        <v>25</v>
      </c>
      <c r="C42" s="19"/>
      <c r="D42" s="40">
        <f>$A$4*4500</f>
        <v>0</v>
      </c>
      <c r="E42" s="70">
        <f t="shared" si="4"/>
        <v>0</v>
      </c>
      <c r="F42" s="40">
        <f>$A$4*4500</f>
        <v>0</v>
      </c>
      <c r="G42" s="24">
        <f t="shared" si="5"/>
        <v>0</v>
      </c>
      <c r="H42" s="3"/>
    </row>
    <row r="43" spans="1:8" x14ac:dyDescent="0.25">
      <c r="A43" s="25" t="s">
        <v>27</v>
      </c>
      <c r="B43" s="25"/>
      <c r="C43" s="25"/>
      <c r="D43" s="25"/>
      <c r="E43" s="68">
        <f>SUM(E41:E42)</f>
        <v>0</v>
      </c>
      <c r="F43" s="25"/>
      <c r="G43" s="26">
        <f>SUM(G41:G42)</f>
        <v>0</v>
      </c>
      <c r="H43" s="3"/>
    </row>
    <row r="44" spans="1:8" ht="4.05" customHeight="1" x14ac:dyDescent="0.25">
      <c r="A44" s="4"/>
      <c r="B44" s="4"/>
      <c r="C44" s="4"/>
      <c r="D44" s="5"/>
      <c r="E44" s="71"/>
      <c r="F44" s="5"/>
      <c r="G44" s="5"/>
      <c r="H44" s="3"/>
    </row>
    <row r="45" spans="1:8" ht="15" customHeight="1" x14ac:dyDescent="0.25">
      <c r="A45" s="4"/>
      <c r="B45" s="15" t="s">
        <v>42</v>
      </c>
      <c r="C45" s="15"/>
      <c r="D45" s="38">
        <v>0</v>
      </c>
      <c r="E45" s="66">
        <f t="shared" ref="E45:E46" si="6">D45*12</f>
        <v>0</v>
      </c>
      <c r="F45" s="38">
        <v>3000</v>
      </c>
      <c r="G45" s="22">
        <f t="shared" ref="G45:G46" si="7">F45*12</f>
        <v>36000</v>
      </c>
      <c r="H45" s="3"/>
    </row>
    <row r="46" spans="1:8" ht="15" customHeight="1" thickBot="1" x14ac:dyDescent="0.3">
      <c r="A46" s="4"/>
      <c r="B46" s="19" t="s">
        <v>43</v>
      </c>
      <c r="C46" s="19"/>
      <c r="D46" s="40">
        <f>$A$4*4500</f>
        <v>0</v>
      </c>
      <c r="E46" s="70">
        <f t="shared" si="6"/>
        <v>0</v>
      </c>
      <c r="F46" s="40">
        <v>1000</v>
      </c>
      <c r="G46" s="24">
        <f t="shared" si="7"/>
        <v>12000</v>
      </c>
      <c r="H46" s="3"/>
    </row>
    <row r="47" spans="1:8" x14ac:dyDescent="0.25">
      <c r="A47" s="25" t="s">
        <v>17</v>
      </c>
      <c r="B47" s="25"/>
      <c r="C47" s="25"/>
      <c r="D47" s="25"/>
      <c r="E47" s="68">
        <f>SUM(E45:E46)</f>
        <v>0</v>
      </c>
      <c r="F47" s="25"/>
      <c r="G47" s="26">
        <f>SUM(G45:G46)</f>
        <v>48000</v>
      </c>
      <c r="H47" s="3"/>
    </row>
    <row r="48" spans="1:8" ht="4.05" customHeight="1" thickBot="1" x14ac:dyDescent="0.3">
      <c r="A48" s="4"/>
      <c r="B48" s="4"/>
      <c r="C48" s="4"/>
      <c r="D48" s="5"/>
      <c r="E48" s="71"/>
      <c r="F48" s="5"/>
      <c r="G48" s="5"/>
      <c r="H48" s="3"/>
    </row>
    <row r="49" spans="1:8" ht="15.6" thickTop="1" x14ac:dyDescent="0.25">
      <c r="A49" s="7" t="s">
        <v>26</v>
      </c>
      <c r="B49" s="7"/>
      <c r="C49" s="7"/>
      <c r="D49" s="7"/>
      <c r="E49" s="62">
        <f>E25+E35+E39+E43+E47</f>
        <v>24504</v>
      </c>
      <c r="F49" s="7"/>
      <c r="G49" s="8">
        <f>G25+G35+G39+G43+G47</f>
        <v>77920</v>
      </c>
      <c r="H49" s="3"/>
    </row>
    <row r="50" spans="1:8" ht="4.05" customHeight="1" x14ac:dyDescent="0.25">
      <c r="A50" s="27"/>
      <c r="B50" s="27"/>
      <c r="C50" s="27"/>
      <c r="D50" s="27"/>
      <c r="E50" s="72"/>
      <c r="F50" s="27"/>
      <c r="G50" s="28"/>
      <c r="H50" s="3"/>
    </row>
    <row r="51" spans="1:8" x14ac:dyDescent="0.25">
      <c r="A51" s="31" t="s">
        <v>29</v>
      </c>
      <c r="B51" s="31"/>
      <c r="C51" s="31"/>
      <c r="D51" s="32"/>
      <c r="E51" s="73">
        <f>E17-E49</f>
        <v>75496</v>
      </c>
      <c r="F51" s="32"/>
      <c r="G51" s="32">
        <f>G17-G49</f>
        <v>108080</v>
      </c>
      <c r="H51" s="3"/>
    </row>
    <row r="52" spans="1:8" ht="4.05" customHeight="1" x14ac:dyDescent="0.25">
      <c r="A52" s="4"/>
      <c r="B52" s="4"/>
      <c r="C52" s="4"/>
      <c r="D52" s="4"/>
      <c r="E52" s="60"/>
      <c r="F52" s="34"/>
      <c r="G52" s="35"/>
      <c r="H52" s="3"/>
    </row>
    <row r="53" spans="1:8" ht="15" customHeight="1" x14ac:dyDescent="0.25">
      <c r="A53" s="4"/>
      <c r="B53" s="15" t="s">
        <v>30</v>
      </c>
      <c r="C53" s="15"/>
      <c r="D53" s="41">
        <v>0.1</v>
      </c>
      <c r="E53" s="66">
        <f>(E$51*0.8*0.935)*D53</f>
        <v>5647.1008000000011</v>
      </c>
      <c r="F53" s="41">
        <f>D53*(1+((G51-E51)/E51)*0.2)</f>
        <v>0.10863198050227828</v>
      </c>
      <c r="G53" s="22">
        <f>(G$51*0.8*0.935)*F53</f>
        <v>8782.2264506093052</v>
      </c>
      <c r="H53" s="3"/>
    </row>
    <row r="54" spans="1:8" ht="15" customHeight="1" x14ac:dyDescent="0.25">
      <c r="A54" s="4"/>
      <c r="B54" s="17" t="s">
        <v>52</v>
      </c>
      <c r="C54" s="17"/>
      <c r="D54" s="41">
        <v>0.14935000000000001</v>
      </c>
      <c r="E54" s="67">
        <f>E$51*D54</f>
        <v>11275.327600000001</v>
      </c>
      <c r="F54" s="41">
        <v>0.14935000000000001</v>
      </c>
      <c r="G54" s="23">
        <f>(G$51/2)*F54</f>
        <v>8070.8740000000007</v>
      </c>
      <c r="H54" s="3"/>
    </row>
    <row r="55" spans="1:8" ht="15" customHeight="1" thickBot="1" x14ac:dyDescent="0.3">
      <c r="A55" s="4"/>
      <c r="B55" s="19" t="s">
        <v>31</v>
      </c>
      <c r="C55" s="19"/>
      <c r="D55" s="51">
        <v>0.05</v>
      </c>
      <c r="E55" s="70">
        <f>E$51*D55</f>
        <v>3774.8</v>
      </c>
      <c r="F55" s="51">
        <v>0.05</v>
      </c>
      <c r="G55" s="24">
        <f>G$51*F55</f>
        <v>5404</v>
      </c>
      <c r="H55" s="3"/>
    </row>
    <row r="56" spans="1:8" ht="15" customHeight="1" x14ac:dyDescent="0.3">
      <c r="A56" s="29" t="s">
        <v>32</v>
      </c>
      <c r="B56" s="29"/>
      <c r="C56" s="29"/>
      <c r="D56" s="30"/>
      <c r="E56" s="74">
        <f>E51-SUM(E53:E55)</f>
        <v>54798.7716</v>
      </c>
      <c r="F56" s="30"/>
      <c r="G56" s="30">
        <f>G51-SUM(G53:G55)</f>
        <v>85822.899549390699</v>
      </c>
      <c r="H56" s="3"/>
    </row>
    <row r="57" spans="1:8" x14ac:dyDescent="0.25">
      <c r="B57" s="31" t="s">
        <v>50</v>
      </c>
      <c r="D57" s="3"/>
      <c r="E57" s="75"/>
      <c r="F57" s="33">
        <f>G57/E56</f>
        <v>0.56614641247525155</v>
      </c>
      <c r="G57" s="32">
        <f>G56-E56</f>
        <v>31024.127949390699</v>
      </c>
      <c r="H57" s="3"/>
    </row>
    <row r="58" spans="1:8" ht="22.05" customHeight="1" x14ac:dyDescent="0.3">
      <c r="A58" s="77" t="s">
        <v>54</v>
      </c>
      <c r="B58" s="76"/>
      <c r="C58" s="76"/>
      <c r="D58" s="78" t="s">
        <v>55</v>
      </c>
      <c r="E58" s="76"/>
      <c r="F58" s="76"/>
      <c r="G58" s="76"/>
      <c r="H58" s="3"/>
    </row>
    <row r="59" spans="1:8" x14ac:dyDescent="0.25">
      <c r="D59" s="3"/>
      <c r="E59" s="3"/>
      <c r="F59" s="3"/>
      <c r="G59" s="3"/>
      <c r="H59" s="3"/>
    </row>
    <row r="60" spans="1:8" x14ac:dyDescent="0.25">
      <c r="D60" s="3"/>
      <c r="E60" s="3"/>
      <c r="F60" s="3"/>
      <c r="G60" s="3"/>
      <c r="H60" s="3"/>
    </row>
    <row r="61" spans="1:8" x14ac:dyDescent="0.25">
      <c r="D61" s="3"/>
      <c r="E61" s="3"/>
      <c r="F61" s="3"/>
      <c r="G61" s="3"/>
      <c r="H61" s="3"/>
    </row>
    <row r="62" spans="1:8" x14ac:dyDescent="0.25">
      <c r="D62" s="3"/>
      <c r="E62" s="3"/>
      <c r="F62" s="3"/>
      <c r="G62" s="3"/>
      <c r="H62" s="3"/>
    </row>
    <row r="63" spans="1:8" x14ac:dyDescent="0.25">
      <c r="D63" s="3"/>
      <c r="E63" s="3"/>
      <c r="F63" s="3"/>
      <c r="G63" s="3"/>
      <c r="H63" s="3"/>
    </row>
    <row r="64" spans="1:8" x14ac:dyDescent="0.25">
      <c r="D64" s="3"/>
      <c r="E64" s="3"/>
      <c r="F64" s="3"/>
      <c r="G64" s="3"/>
      <c r="H64" s="3"/>
    </row>
    <row r="65" spans="4:8" x14ac:dyDescent="0.25">
      <c r="D65" s="3"/>
      <c r="E65" s="3"/>
      <c r="F65" s="3"/>
      <c r="G65" s="3"/>
      <c r="H65" s="3"/>
    </row>
    <row r="66" spans="4:8" x14ac:dyDescent="0.25">
      <c r="D66" s="3"/>
      <c r="E66" s="3"/>
      <c r="F66" s="3"/>
      <c r="G66" s="3"/>
      <c r="H66" s="3"/>
    </row>
    <row r="67" spans="4:8" x14ac:dyDescent="0.25">
      <c r="D67" s="3"/>
      <c r="E67" s="3"/>
      <c r="F67" s="3"/>
      <c r="G67" s="3"/>
    </row>
    <row r="68" spans="4:8" x14ac:dyDescent="0.25">
      <c r="D68" s="3"/>
      <c r="E68" s="3"/>
      <c r="F68" s="3"/>
      <c r="G68" s="3"/>
    </row>
    <row r="69" spans="4:8" x14ac:dyDescent="0.25">
      <c r="D69" s="3"/>
      <c r="E69" s="3"/>
      <c r="F69" s="3"/>
      <c r="G69" s="3"/>
    </row>
    <row r="70" spans="4:8" x14ac:dyDescent="0.25">
      <c r="D70" s="3"/>
      <c r="E70" s="3"/>
      <c r="F70" s="3"/>
      <c r="G70" s="3"/>
    </row>
  </sheetData>
  <sheetProtection sheet="1" objects="1" scenarios="1" selectLockedCells="1"/>
  <mergeCells count="3">
    <mergeCell ref="A1:F1"/>
    <mergeCell ref="D7:E7"/>
    <mergeCell ref="F7:G7"/>
  </mergeCells>
  <dataValidations count="2">
    <dataValidation allowBlank="1" showInputMessage="1" showErrorMessage="1" prompt="Enter &quot;Yes&quot; or leave blank?" sqref="G4" xr:uid="{B11791C5-A8E4-4847-9526-5BD7BF0EBEC8}"/>
    <dataValidation allowBlank="1" showErrorMessage="1" prompt="Enter &quot;Yes&quot; or leave blank?" sqref="G5:G6" xr:uid="{41CD301B-B7A2-DC4C-9FDB-DDCDC622B97E}"/>
  </dataValidations>
  <hyperlinks>
    <hyperlink ref="D58" r:id="rId1" xr:uid="{E80B7306-E7F4-4246-8CCC-3B401111E854}"/>
  </hyperlinks>
  <pageMargins left="0.69444444444444442" right="0.81597222222222221" top="0.50347222222222221" bottom="0.50347222222222221" header="0.3" footer="0.3"/>
  <pageSetup orientation="portrait" r:id="rId2"/>
  <headerFooter>
    <oddHeader>&amp;C&amp;G</oddHeader>
    <oddFooter>&amp;C&amp;G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32D408BF91848964C9A72B99A6DAF" ma:contentTypeVersion="14" ma:contentTypeDescription="Create a new document." ma:contentTypeScope="" ma:versionID="e1ddc4fc94ddae01136e5297f1525679">
  <xsd:schema xmlns:xsd="http://www.w3.org/2001/XMLSchema" xmlns:xs="http://www.w3.org/2001/XMLSchema" xmlns:p="http://schemas.microsoft.com/office/2006/metadata/properties" xmlns:ns2="0586afe6-2814-4cb5-92c4-af72f2aea325" xmlns:ns3="4ba18ff1-9148-4a63-9bb5-69bf1f8721d3" targetNamespace="http://schemas.microsoft.com/office/2006/metadata/properties" ma:root="true" ma:fieldsID="cd6a06a6405723f8a730cac1f3b8457e" ns2:_="" ns3:_="">
    <xsd:import namespace="0586afe6-2814-4cb5-92c4-af72f2aea325"/>
    <xsd:import namespace="4ba18ff1-9148-4a63-9bb5-69bf1f8721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6afe6-2814-4cb5-92c4-af72f2aea3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c868871-36f6-400f-8f35-7bb0f0ee22e0}" ma:internalName="TaxCatchAll" ma:showField="CatchAllData" ma:web="0586afe6-2814-4cb5-92c4-af72f2aea3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18ff1-9148-4a63-9bb5-69bf1f8721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e945071-b0b2-41b6-a98a-e3d949953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a18ff1-9148-4a63-9bb5-69bf1f8721d3">
      <Terms xmlns="http://schemas.microsoft.com/office/infopath/2007/PartnerControls"/>
    </lcf76f155ced4ddcb4097134ff3c332f>
    <TaxCatchAll xmlns="0586afe6-2814-4cb5-92c4-af72f2aea325" xsi:nil="true"/>
  </documentManagement>
</p:properties>
</file>

<file path=customXml/itemProps1.xml><?xml version="1.0" encoding="utf-8"?>
<ds:datastoreItem xmlns:ds="http://schemas.openxmlformats.org/officeDocument/2006/customXml" ds:itemID="{38562E01-6F0C-4EED-B0F2-82AC155AD76B}"/>
</file>

<file path=customXml/itemProps2.xml><?xml version="1.0" encoding="utf-8"?>
<ds:datastoreItem xmlns:ds="http://schemas.openxmlformats.org/officeDocument/2006/customXml" ds:itemID="{B9A55BA6-1FEA-4730-A342-8928F7E7A735}"/>
</file>

<file path=customXml/itemProps3.xml><?xml version="1.0" encoding="utf-8"?>
<ds:datastoreItem xmlns:ds="http://schemas.openxmlformats.org/officeDocument/2006/customXml" ds:itemID="{535B9B25-A97B-4F74-A499-F41788689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 Linde</dc:creator>
  <cp:lastModifiedBy>Adam Van Deusen</cp:lastModifiedBy>
  <dcterms:created xsi:type="dcterms:W3CDTF">2022-03-25T14:04:20Z</dcterms:created>
  <dcterms:modified xsi:type="dcterms:W3CDTF">2024-05-09T13:12:19Z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0x010100E6932D408BF91848964C9A72B99A6DAF</vt:lpwstr>
  </property>
</Properties>
</file>